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PODERES Y AUTONOMOS\PODER EJECUTIVO\CUENTA PUBLICA CONSOLIDADA\"/>
    </mc:Choice>
  </mc:AlternateContent>
  <bookViews>
    <workbookView xWindow="5610" yWindow="1665" windowWidth="15735" windowHeight="11295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 l="1"/>
  <c r="H42" i="1"/>
  <c r="I42" i="1"/>
  <c r="I32" i="1"/>
  <c r="H32" i="1"/>
  <c r="I21" i="1"/>
  <c r="H21" i="1"/>
  <c r="E33" i="1"/>
  <c r="D33" i="1"/>
  <c r="E20" i="1"/>
  <c r="D20" i="1"/>
  <c r="A24" i="4"/>
  <c r="B3" i="4"/>
  <c r="C29" i="4"/>
  <c r="B31" i="4"/>
  <c r="A33" i="4"/>
  <c r="C11" i="3"/>
  <c r="A4" i="3"/>
  <c r="A15" i="3"/>
  <c r="A10" i="4"/>
  <c r="A14" i="3"/>
  <c r="B19" i="3"/>
  <c r="C1" i="4"/>
  <c r="C21" i="4"/>
  <c r="A7" i="3"/>
  <c r="B4" i="3"/>
  <c r="B32" i="4"/>
  <c r="B10" i="4"/>
  <c r="B33" i="4"/>
  <c r="A5" i="4"/>
  <c r="C17" i="3"/>
  <c r="B25" i="4"/>
  <c r="B4" i="4"/>
  <c r="B27" i="4"/>
  <c r="A20" i="4"/>
  <c r="A4" i="4"/>
  <c r="A18" i="3"/>
  <c r="B6" i="4"/>
  <c r="A23" i="4"/>
  <c r="A14" i="4"/>
  <c r="C26" i="4"/>
  <c r="A36" i="4"/>
  <c r="C28" i="4"/>
  <c r="A27" i="4"/>
  <c r="B8" i="4"/>
  <c r="A26" i="4"/>
  <c r="B17" i="3"/>
  <c r="A25" i="4"/>
  <c r="C10" i="3"/>
  <c r="B12" i="4"/>
  <c r="A17" i="4"/>
  <c r="A23" i="3"/>
  <c r="B10" i="3"/>
  <c r="B22" i="3"/>
  <c r="A16" i="3"/>
  <c r="B9" i="3"/>
  <c r="A12" i="3"/>
  <c r="A22" i="3"/>
  <c r="C22" i="3"/>
  <c r="C6" i="4"/>
  <c r="C21" i="3"/>
  <c r="A35" i="4"/>
  <c r="A13" i="3"/>
  <c r="A22" i="4"/>
  <c r="B19" i="4"/>
  <c r="B23" i="4"/>
  <c r="B14" i="3"/>
  <c r="B18" i="3"/>
  <c r="B12" i="3"/>
  <c r="C23" i="4"/>
  <c r="A9" i="3"/>
  <c r="C2" i="3"/>
  <c r="C12" i="3"/>
  <c r="A32" i="4"/>
  <c r="A19" i="4"/>
  <c r="C3" i="4"/>
  <c r="A9" i="4"/>
  <c r="B11" i="3"/>
  <c r="B22" i="4"/>
  <c r="B15" i="4"/>
  <c r="A2" i="4"/>
  <c r="A6" i="3"/>
  <c r="C5" i="3"/>
  <c r="C13" i="3"/>
  <c r="B8" i="3"/>
  <c r="C9" i="3"/>
  <c r="B18" i="4"/>
  <c r="C35" i="4"/>
  <c r="C31" i="4"/>
  <c r="B21" i="3"/>
  <c r="B9" i="4"/>
  <c r="A3" i="4"/>
  <c r="C11" i="4"/>
  <c r="C12" i="4"/>
  <c r="B2" i="3"/>
  <c r="B14" i="4"/>
  <c r="A18" i="4"/>
  <c r="B24" i="4"/>
  <c r="C5" i="4"/>
  <c r="B7" i="3"/>
  <c r="B15" i="3"/>
  <c r="C27" i="4"/>
  <c r="A37" i="4"/>
  <c r="C4" i="3"/>
  <c r="C8" i="4"/>
  <c r="B3" i="3"/>
  <c r="C32" i="4"/>
  <c r="C14" i="4"/>
  <c r="A29" i="4"/>
  <c r="B30" i="4"/>
  <c r="A7" i="4"/>
  <c r="C18" i="3"/>
  <c r="A21" i="3"/>
  <c r="B36" i="4"/>
  <c r="A31" i="4"/>
  <c r="C30" i="4"/>
  <c r="B13" i="3"/>
  <c r="C18" i="4"/>
  <c r="C15" i="3"/>
  <c r="B28" i="4"/>
  <c r="C37" i="4"/>
  <c r="C22" i="4"/>
  <c r="C15" i="4"/>
  <c r="C13" i="4"/>
  <c r="C3" i="3"/>
  <c r="A8" i="4"/>
  <c r="A11" i="4"/>
  <c r="C20" i="3"/>
  <c r="A13" i="4"/>
  <c r="C7" i="4"/>
  <c r="C6" i="3"/>
  <c r="C14" i="3"/>
  <c r="C20" i="4"/>
  <c r="C23" i="3"/>
  <c r="A2" i="3"/>
  <c r="C16" i="4"/>
  <c r="C1" i="3"/>
  <c r="C19" i="4"/>
  <c r="B1" i="3"/>
  <c r="C36" i="4"/>
  <c r="B16" i="3"/>
  <c r="A17" i="3"/>
  <c r="A11" i="3"/>
  <c r="A6" i="4"/>
  <c r="B35" i="4"/>
  <c r="A30" i="4"/>
  <c r="A3" i="3"/>
  <c r="B23" i="3"/>
  <c r="A12" i="4"/>
  <c r="B16" i="4"/>
  <c r="A21" i="4"/>
  <c r="A5" i="3"/>
  <c r="B37" i="4"/>
  <c r="C2" i="4"/>
  <c r="A8" i="3"/>
  <c r="B26" i="4"/>
  <c r="B13" i="4"/>
  <c r="B5" i="3"/>
  <c r="B1" i="4"/>
  <c r="A20" i="3"/>
  <c r="C4" i="4"/>
  <c r="A28" i="4"/>
  <c r="B6" i="3"/>
  <c r="C7" i="3"/>
  <c r="A19" i="3"/>
  <c r="B20" i="3"/>
  <c r="A34" i="4"/>
  <c r="B5" i="4"/>
  <c r="C17" i="4"/>
  <c r="B17" i="4"/>
  <c r="A10" i="3"/>
  <c r="A15" i="4"/>
  <c r="A16" i="4"/>
  <c r="C16" i="3"/>
  <c r="B34" i="4"/>
  <c r="B11" i="4"/>
  <c r="C24" i="4"/>
  <c r="C9" i="4"/>
  <c r="B29" i="4"/>
  <c r="C33" i="4"/>
  <c r="C25" i="4"/>
  <c r="C10" i="4"/>
  <c r="B21" i="4"/>
  <c r="B2" i="4"/>
  <c r="B7" i="4"/>
  <c r="C19" i="3"/>
  <c r="C34" i="4"/>
  <c r="B20" i="4"/>
  <c r="C8" i="3"/>
  <c r="I53" i="1" l="1"/>
  <c r="I34" i="1"/>
  <c r="D34" i="1"/>
  <c r="E34" i="1"/>
  <c r="I55" i="1" l="1"/>
  <c r="H53" i="1"/>
  <c r="H49" i="1"/>
  <c r="H34" i="1" l="1"/>
  <c r="H55" i="1" s="1"/>
</calcChain>
</file>

<file path=xl/sharedStrings.xml><?xml version="1.0" encoding="utf-8"?>
<sst xmlns="http://schemas.openxmlformats.org/spreadsheetml/2006/main" count="95" uniqueCount="63">
  <si>
    <t>A      C      T      I      V      O</t>
  </si>
  <si>
    <t>GOBIERNO DEL ESTADO DE MICHOACAN DE OCAMPO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</si>
  <si>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</si>
  <si>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</si>
  <si>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</si>
  <si>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</si>
  <si>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</si>
  <si>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</si>
  <si>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</si>
  <si>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</si>
  <si>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</si>
  <si>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</si>
  <si>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</si>
  <si>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</si>
  <si>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</si>
  <si>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</si>
  <si>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</si>
  <si>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</si>
  <si>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</si>
  <si>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</si>
  <si>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</si>
  <si>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</si>
  <si>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</si>
  <si>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</si>
  <si>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</si>
  <si>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</si>
  <si>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</si>
  <si>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</si>
  <si>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</si>
  <si>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</si>
  <si>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</si>
  <si>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</si>
  <si>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</si>
  <si>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</si>
  <si>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</si>
  <si>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</si>
  <si>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</si>
  <si>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</si>
  <si>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</si>
  <si>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</si>
  <si>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</si>
  <si>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</si>
  <si>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</si>
  <si>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</si>
  <si>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</si>
  <si>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</si>
  <si>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</si>
  <si>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</si>
  <si>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</si>
  <si>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</si>
  <si>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</si>
  <si>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</si>
  <si>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</si>
  <si>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</si>
  <si>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</si>
  <si>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</si>
  <si>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</si>
  <si>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</si>
  <si>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</si>
  <si>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</si>
  <si>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</si>
  <si>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ESTADO  DE  SITUACION  FINANCIERA CONSOLIDADO PODERES Y ORGANISMOS AUTÓNOMOS</t>
  </si>
  <si>
    <t xml:space="preserve">AL 31 DE DICIEMBRE DEL 2024 Y 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</si>
</sst>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</cellStyleXfs>
  <cellXfs count="137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1" fillId="0" borderId="22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3" fontId="33" fillId="0" borderId="25" xfId="58" applyNumberFormat="1" applyFont="1" applyFill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wrapText="1" indent="1"/>
    </xf>
    <xf numFmtId="172" fontId="32" fillId="0" borderId="24" xfId="58" applyNumberFormat="1" applyFont="1" applyFill="1" applyBorder="1" applyAlignment="1">
      <alignment horizontal="left" wrapText="1"/>
    </xf>
    <xf numFmtId="170" fontId="33" fillId="0" borderId="25" xfId="58" applyNumberFormat="1" applyFont="1" applyFill="1" applyBorder="1" applyAlignment="1">
      <alignment wrapText="1"/>
    </xf>
    <xf numFmtId="170" fontId="33" fillId="0" borderId="31" xfId="58" applyNumberFormat="1" applyFont="1" applyFill="1" applyBorder="1" applyAlignment="1">
      <alignment wrapText="1"/>
    </xf>
    <xf numFmtId="0" fontId="33" fillId="0" borderId="24" xfId="0" applyFont="1" applyBorder="1" applyAlignment="1">
      <alignment wrapText="1"/>
    </xf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168" fontId="0" fillId="0" borderId="0" xfId="0" applyNumberFormat="1"/>
    <xf numFmtId="3" fontId="32" fillId="0" borderId="24" xfId="58" applyNumberFormat="1" applyFont="1" applyFill="1" applyBorder="1"/>
    <xf numFmtId="3" fontId="33" fillId="0" borderId="24" xfId="58" applyNumberFormat="1" applyFont="1" applyFill="1" applyBorder="1"/>
    <xf numFmtId="169" fontId="1" fillId="0" borderId="0" xfId="0" applyNumberFormat="1" applyFont="1"/>
    <xf numFmtId="169" fontId="34" fillId="0" borderId="0" xfId="0" applyNumberFormat="1" applyFont="1" applyAlignment="1">
      <alignment horizontal="centerContinuous"/>
    </xf>
    <xf numFmtId="169" fontId="33" fillId="26" borderId="0" xfId="0" applyNumberFormat="1" applyFont="1" applyFill="1" applyAlignment="1">
      <alignment horizontal="centerContinuous" vertical="center"/>
    </xf>
    <xf numFmtId="169" fontId="33" fillId="26" borderId="0" xfId="0" applyNumberFormat="1" applyFont="1" applyFill="1" applyAlignment="1">
      <alignment horizontal="centerContinuous"/>
    </xf>
    <xf numFmtId="169" fontId="37" fillId="27" borderId="19" xfId="0" applyNumberFormat="1" applyFont="1" applyFill="1" applyBorder="1" applyAlignment="1">
      <alignment horizontal="centerContinuous" vertical="center"/>
    </xf>
    <xf numFmtId="169" fontId="33" fillId="0" borderId="23" xfId="0" applyNumberFormat="1" applyFont="1" applyBorder="1"/>
    <xf numFmtId="169" fontId="33" fillId="0" borderId="25" xfId="0" applyNumberFormat="1" applyFont="1" applyBorder="1"/>
    <xf numFmtId="169" fontId="33" fillId="0" borderId="30" xfId="0" applyNumberFormat="1" applyFont="1" applyBorder="1"/>
    <xf numFmtId="169" fontId="0" fillId="0" borderId="0" xfId="0" applyNumberFormat="1"/>
    <xf numFmtId="3" fontId="33" fillId="0" borderId="25" xfId="0" applyNumberFormat="1" applyFont="1" applyBorder="1"/>
    <xf numFmtId="0" fontId="32" fillId="0" borderId="26" xfId="0" applyFont="1" applyBorder="1" applyAlignment="1">
      <alignment wrapText="1"/>
    </xf>
    <xf numFmtId="0" fontId="32" fillId="0" borderId="24" xfId="0" applyFont="1" applyBorder="1" applyAlignment="1">
      <alignment horizontal="left" wrapText="1"/>
    </xf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3" fontId="33" fillId="0" borderId="25" xfId="58" applyNumberFormat="1" applyFont="1" applyFill="1" applyBorder="1"/>
    <xf numFmtId="3" fontId="32" fillId="0" borderId="25" xfId="58" applyNumberFormat="1" applyFont="1" applyFill="1" applyBorder="1"/>
    <xf numFmtId="3" fontId="33" fillId="0" borderId="24" xfId="0" applyNumberFormat="1" applyFont="1" applyBorder="1"/>
    <xf numFmtId="3" fontId="33" fillId="0" borderId="24" xfId="58" applyNumberFormat="1" applyFont="1" applyFill="1" applyBorder="1" applyAlignment="1">
      <alignment horizontal="right"/>
    </xf>
    <xf numFmtId="3" fontId="33" fillId="0" borderId="25" xfId="58" applyNumberFormat="1" applyFont="1" applyFill="1" applyBorder="1" applyAlignment="1">
      <alignment horizontal="right"/>
    </xf>
    <xf numFmtId="3" fontId="33" fillId="0" borderId="24" xfId="58" applyNumberFormat="1" applyFont="1" applyFill="1" applyBorder="1" applyAlignment="1">
      <alignment wrapText="1"/>
    </xf>
    <xf numFmtId="3" fontId="32" fillId="0" borderId="24" xfId="0" applyNumberFormat="1" applyFont="1" applyBorder="1" applyAlignment="1">
      <alignment wrapText="1"/>
    </xf>
    <xf numFmtId="3" fontId="32" fillId="0" borderId="24" xfId="0" applyNumberFormat="1" applyFont="1" applyBorder="1"/>
    <xf numFmtId="3" fontId="32" fillId="0" borderId="25" xfId="0" applyNumberFormat="1" applyFont="1" applyBorder="1"/>
    <xf numFmtId="3" fontId="32" fillId="0" borderId="31" xfId="58" applyNumberFormat="1" applyFont="1" applyFill="1" applyBorder="1"/>
    <xf numFmtId="3" fontId="33" fillId="0" borderId="24" xfId="0" applyNumberFormat="1" applyFont="1" applyBorder="1" applyAlignment="1">
      <alignment horizontal="right"/>
    </xf>
    <xf numFmtId="3" fontId="32" fillId="0" borderId="27" xfId="58" applyNumberFormat="1" applyFont="1" applyFill="1" applyBorder="1"/>
    <xf numFmtId="3" fontId="32" fillId="0" borderId="28" xfId="58" applyNumberFormat="1" applyFont="1" applyFill="1" applyBorder="1"/>
    <xf numFmtId="3" fontId="32" fillId="0" borderId="25" xfId="0" applyNumberFormat="1" applyFont="1" applyBorder="1" applyAlignment="1">
      <alignment wrapText="1"/>
    </xf>
    <xf numFmtId="3" fontId="32" fillId="0" borderId="24" xfId="58" applyNumberFormat="1" applyFont="1" applyFill="1" applyBorder="1" applyAlignment="1">
      <alignment wrapText="1"/>
    </xf>
    <xf numFmtId="3" fontId="32" fillId="0" borderId="25" xfId="58" applyNumberFormat="1" applyFont="1" applyFill="1" applyBorder="1" applyAlignment="1">
      <alignment wrapText="1"/>
    </xf>
    <xf numFmtId="3" fontId="32" fillId="0" borderId="25" xfId="0" applyNumberFormat="1" applyFont="1" applyBorder="1" applyAlignment="1">
      <alignment horizontal="left" wrapText="1"/>
    </xf>
    <xf numFmtId="3" fontId="32" fillId="0" borderId="24" xfId="58" applyNumberFormat="1" applyFont="1" applyFill="1" applyBorder="1" applyAlignment="1">
      <alignment horizontal="left" wrapText="1"/>
    </xf>
    <xf numFmtId="3" fontId="32" fillId="0" borderId="25" xfId="58" applyNumberFormat="1" applyFont="1" applyFill="1" applyBorder="1" applyAlignment="1">
      <alignment horizontal="left" wrapText="1"/>
    </xf>
    <xf numFmtId="3" fontId="32" fillId="0" borderId="27" xfId="58" applyNumberFormat="1" applyFont="1" applyFill="1" applyBorder="1" applyAlignment="1">
      <alignment wrapText="1"/>
    </xf>
    <xf numFmtId="3" fontId="32" fillId="0" borderId="28" xfId="58" applyNumberFormat="1" applyFont="1" applyFill="1" applyBorder="1" applyAlignment="1">
      <alignment wrapText="1"/>
    </xf>
    <xf numFmtId="0" fontId="31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2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30" fillId="0" borderId="0" xfId="0" applyFont="1" applyBorder="1" applyAlignment="1">
      <alignment horizontal="right" wrapText="1"/>
    </xf>
    <xf numFmtId="0" fontId="33" fillId="0" borderId="20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0" fillId="0" borderId="0" xfId="0" applyFont="1" applyBorder="1" applyAlignment="1">
      <alignment wrapText="1"/>
    </xf>
    <xf numFmtId="168" fontId="32" fillId="0" borderId="1" xfId="58" applyNumberFormat="1" applyFont="1" applyFill="1" applyBorder="1" applyAlignment="1">
      <alignment wrapText="1"/>
    </xf>
    <xf numFmtId="168" fontId="33" fillId="0" borderId="1" xfId="58" applyNumberFormat="1" applyFont="1" applyFill="1" applyBorder="1" applyAlignment="1">
      <alignment wrapText="1"/>
    </xf>
    <xf numFmtId="3" fontId="33" fillId="0" borderId="1" xfId="58" applyNumberFormat="1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170" fontId="32" fillId="0" borderId="1" xfId="58" applyNumberFormat="1" applyFont="1" applyFill="1" applyBorder="1" applyAlignment="1">
      <alignment wrapText="1"/>
    </xf>
    <xf numFmtId="0" fontId="33" fillId="0" borderId="0" xfId="0" applyFont="1" applyBorder="1" applyAlignment="1">
      <alignment horizontal="left" wrapText="1"/>
    </xf>
    <xf numFmtId="0" fontId="32" fillId="0" borderId="1" xfId="0" applyFont="1" applyBorder="1" applyAlignment="1">
      <alignment horizontal="left" wrapText="1"/>
    </xf>
    <xf numFmtId="169" fontId="33" fillId="0" borderId="1" xfId="58" applyNumberFormat="1" applyFont="1" applyFill="1" applyBorder="1" applyAlignment="1">
      <alignment wrapText="1"/>
    </xf>
    <xf numFmtId="172" fontId="32" fillId="0" borderId="1" xfId="58" applyNumberFormat="1" applyFont="1" applyFill="1" applyBorder="1" applyAlignment="1">
      <alignment wrapText="1"/>
    </xf>
    <xf numFmtId="171" fontId="32" fillId="0" borderId="0" xfId="0" applyNumberFormat="1" applyFont="1" applyBorder="1" applyAlignment="1">
      <alignment wrapText="1"/>
    </xf>
    <xf numFmtId="170" fontId="33" fillId="0" borderId="1" xfId="58" applyNumberFormat="1" applyFont="1" applyFill="1" applyBorder="1" applyAlignment="1">
      <alignment wrapText="1"/>
    </xf>
    <xf numFmtId="171" fontId="33" fillId="0" borderId="0" xfId="0" applyNumberFormat="1" applyFont="1" applyBorder="1" applyAlignment="1">
      <alignment wrapText="1"/>
    </xf>
    <xf numFmtId="0" fontId="33" fillId="0" borderId="2" xfId="0" applyFont="1" applyBorder="1" applyAlignment="1">
      <alignment wrapText="1"/>
    </xf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7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</cellXfs>
  <cellStyles count="60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xmlns="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xmlns="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topLeftCell="A34" zoomScaleNormal="100" workbookViewId="0">
      <selection activeCell="B2" sqref="B2:I57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style="82" bestFit="1" customWidth="1"/>
    <col min="10" max="10" width="17.42578125" hidden="1" customWidth="1"/>
    <col min="11" max="11" width="0" hidden="1" customWidth="1"/>
    <col min="13" max="13" width="31.42578125" customWidth="1"/>
    <col min="14" max="14" width="11.7109375" bestFit="1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I1" s="74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I2" s="74"/>
      <c r="L2" s="4"/>
      <c r="M2" s="1"/>
      <c r="N2" s="1"/>
    </row>
    <row r="3" spans="2:14" ht="15.75" x14ac:dyDescent="0.25">
      <c r="B3" s="16" t="s">
        <v>1</v>
      </c>
      <c r="C3" s="25"/>
      <c r="D3" s="25"/>
      <c r="E3" s="25"/>
      <c r="F3" s="25"/>
      <c r="G3" s="25"/>
      <c r="H3" s="16"/>
      <c r="I3" s="75"/>
    </row>
    <row r="4" spans="2:14" x14ac:dyDescent="0.2">
      <c r="B4" s="17" t="s">
        <v>61</v>
      </c>
      <c r="C4" s="26"/>
      <c r="D4" s="26"/>
      <c r="E4" s="26"/>
      <c r="F4" s="26"/>
      <c r="G4" s="26"/>
      <c r="H4" s="18"/>
      <c r="I4" s="76"/>
    </row>
    <row r="5" spans="2:14" x14ac:dyDescent="0.2">
      <c r="B5" s="17" t="s">
        <v>62</v>
      </c>
      <c r="C5" s="26"/>
      <c r="D5" s="26"/>
      <c r="E5" s="26"/>
      <c r="F5" s="26"/>
      <c r="G5" s="26"/>
      <c r="H5" s="18"/>
      <c r="I5" s="76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77"/>
    </row>
    <row r="7" spans="2:14" ht="13.5" thickBot="1" x14ac:dyDescent="0.25">
      <c r="B7" s="131" t="s">
        <v>2</v>
      </c>
      <c r="C7" s="131"/>
      <c r="D7" s="131"/>
      <c r="E7" s="131"/>
      <c r="F7" s="131"/>
      <c r="G7" s="131"/>
      <c r="H7" s="131"/>
      <c r="I7" s="131"/>
    </row>
    <row r="8" spans="2:14" ht="13.5" thickBot="1" x14ac:dyDescent="0.25">
      <c r="B8" s="66" t="s">
        <v>0</v>
      </c>
      <c r="C8" s="67"/>
      <c r="D8" s="68">
        <v>2024</v>
      </c>
      <c r="E8" s="69">
        <v>2023</v>
      </c>
      <c r="F8" s="135" t="s">
        <v>60</v>
      </c>
      <c r="G8" s="136"/>
      <c r="H8" s="70">
        <v>2024</v>
      </c>
      <c r="I8" s="78">
        <v>2023</v>
      </c>
    </row>
    <row r="9" spans="2:14" x14ac:dyDescent="0.2">
      <c r="B9" s="31"/>
      <c r="C9" s="32"/>
      <c r="D9" s="33"/>
      <c r="E9" s="34"/>
      <c r="F9" s="115"/>
      <c r="G9" s="32"/>
      <c r="H9" s="35"/>
      <c r="I9" s="79"/>
    </row>
    <row r="10" spans="2:14" x14ac:dyDescent="0.2">
      <c r="B10" s="36"/>
      <c r="C10" s="109"/>
      <c r="D10" s="37"/>
      <c r="E10" s="38"/>
      <c r="F10" s="116"/>
      <c r="G10" s="117"/>
      <c r="H10" s="39"/>
      <c r="I10" s="80"/>
    </row>
    <row r="11" spans="2:14" x14ac:dyDescent="0.2">
      <c r="B11" s="40"/>
      <c r="C11" s="110" t="s">
        <v>3</v>
      </c>
      <c r="D11" s="41"/>
      <c r="E11" s="42"/>
      <c r="F11" s="118"/>
      <c r="G11" s="110" t="s">
        <v>24</v>
      </c>
      <c r="H11" s="43"/>
      <c r="I11" s="44"/>
    </row>
    <row r="12" spans="2:14" x14ac:dyDescent="0.2">
      <c r="B12" s="40"/>
      <c r="C12" s="111" t="s">
        <v>4</v>
      </c>
      <c r="D12" s="93">
        <v>3283305924.9800005</v>
      </c>
      <c r="E12" s="51">
        <v>3597217369.4399996</v>
      </c>
      <c r="F12" s="119"/>
      <c r="G12" s="111" t="s">
        <v>25</v>
      </c>
      <c r="H12" s="73">
        <v>4526219240.4800005</v>
      </c>
      <c r="I12" s="88">
        <v>5198274559</v>
      </c>
    </row>
    <row r="13" spans="2:14" ht="22.5" x14ac:dyDescent="0.2">
      <c r="B13" s="40"/>
      <c r="C13" s="111" t="s">
        <v>5</v>
      </c>
      <c r="D13" s="93">
        <v>3644712314.0500002</v>
      </c>
      <c r="E13" s="51">
        <v>1955180812</v>
      </c>
      <c r="F13" s="119"/>
      <c r="G13" s="111" t="s">
        <v>26</v>
      </c>
      <c r="H13" s="73">
        <v>2152370595.73</v>
      </c>
      <c r="I13" s="88">
        <v>235703150.72999999</v>
      </c>
      <c r="N13" s="71"/>
    </row>
    <row r="14" spans="2:14" ht="22.5" x14ac:dyDescent="0.2">
      <c r="B14" s="40"/>
      <c r="C14" s="47" t="s">
        <v>6</v>
      </c>
      <c r="D14" s="93">
        <v>301610754.59000003</v>
      </c>
      <c r="E14" s="51">
        <v>377591481.90000004</v>
      </c>
      <c r="F14" s="119"/>
      <c r="G14" s="111" t="s">
        <v>27</v>
      </c>
      <c r="H14" s="73">
        <v>142293942.28999999</v>
      </c>
      <c r="I14" s="88">
        <v>127482353.45</v>
      </c>
      <c r="N14" s="71"/>
    </row>
    <row r="15" spans="2:14" x14ac:dyDescent="0.2">
      <c r="B15" s="40"/>
      <c r="C15" s="47" t="s">
        <v>7</v>
      </c>
      <c r="D15" s="93">
        <v>0</v>
      </c>
      <c r="E15" s="51">
        <v>0</v>
      </c>
      <c r="F15" s="119"/>
      <c r="G15" s="111" t="s">
        <v>28</v>
      </c>
      <c r="H15" s="73">
        <v>0</v>
      </c>
      <c r="I15" s="88">
        <v>0</v>
      </c>
    </row>
    <row r="16" spans="2:14" x14ac:dyDescent="0.2">
      <c r="B16" s="48"/>
      <c r="C16" s="49" t="s">
        <v>8</v>
      </c>
      <c r="D16" s="93">
        <v>17031179.240000002</v>
      </c>
      <c r="E16" s="51">
        <v>17678286.34</v>
      </c>
      <c r="F16" s="119"/>
      <c r="G16" s="111" t="s">
        <v>29</v>
      </c>
      <c r="H16" s="73">
        <v>0</v>
      </c>
      <c r="I16" s="88">
        <v>0</v>
      </c>
    </row>
    <row r="17" spans="2:9" ht="33.75" x14ac:dyDescent="0.2">
      <c r="B17" s="50"/>
      <c r="C17" s="49" t="s">
        <v>9</v>
      </c>
      <c r="D17" s="93">
        <v>0</v>
      </c>
      <c r="E17" s="51">
        <v>0</v>
      </c>
      <c r="F17" s="119"/>
      <c r="G17" s="111" t="s">
        <v>30</v>
      </c>
      <c r="H17" s="73">
        <v>224483608.13</v>
      </c>
      <c r="I17" s="88">
        <v>223383027.00999999</v>
      </c>
    </row>
    <row r="18" spans="2:9" x14ac:dyDescent="0.2">
      <c r="B18" s="36"/>
      <c r="C18" s="47" t="s">
        <v>10</v>
      </c>
      <c r="D18" s="93">
        <v>1527581.42</v>
      </c>
      <c r="E18" s="51">
        <v>1510581.42</v>
      </c>
      <c r="F18" s="120"/>
      <c r="G18" s="111" t="s">
        <v>31</v>
      </c>
      <c r="H18" s="73">
        <v>1427248.36</v>
      </c>
      <c r="I18" s="88">
        <v>1122317.6200000001</v>
      </c>
    </row>
    <row r="19" spans="2:9" x14ac:dyDescent="0.2">
      <c r="B19" s="36"/>
      <c r="C19" s="47" t="s">
        <v>11</v>
      </c>
      <c r="D19" s="94"/>
      <c r="E19" s="101"/>
      <c r="F19" s="121"/>
      <c r="G19" s="111" t="s">
        <v>32</v>
      </c>
      <c r="H19" s="73">
        <v>3053296273.8699999</v>
      </c>
      <c r="I19" s="88">
        <v>2867683055.8400002</v>
      </c>
    </row>
    <row r="20" spans="2:9" x14ac:dyDescent="0.2">
      <c r="B20" s="40"/>
      <c r="C20" s="52" t="s">
        <v>12</v>
      </c>
      <c r="D20" s="102">
        <f>SUM(D12:D19)</f>
        <v>7248187754.2800007</v>
      </c>
      <c r="E20" s="103">
        <f>SUM(E12:E19)</f>
        <v>5949178531.0999994</v>
      </c>
      <c r="F20" s="122"/>
      <c r="G20" s="123" t="s">
        <v>11</v>
      </c>
      <c r="H20" s="72"/>
      <c r="I20" s="89"/>
    </row>
    <row r="21" spans="2:9" x14ac:dyDescent="0.2">
      <c r="B21" s="40"/>
      <c r="C21" s="110" t="s">
        <v>11</v>
      </c>
      <c r="D21" s="94"/>
      <c r="E21" s="101"/>
      <c r="F21" s="121"/>
      <c r="G21" s="112" t="s">
        <v>33</v>
      </c>
      <c r="H21" s="72">
        <f>SUM(H12:H20)</f>
        <v>10100090908.860001</v>
      </c>
      <c r="I21" s="89">
        <f>SUM(I12:I20)</f>
        <v>8653648463.6499996</v>
      </c>
    </row>
    <row r="22" spans="2:9" x14ac:dyDescent="0.2">
      <c r="B22" s="36"/>
      <c r="C22" s="110" t="s">
        <v>13</v>
      </c>
      <c r="D22" s="94"/>
      <c r="E22" s="104"/>
      <c r="F22" s="124"/>
      <c r="G22" s="110" t="s">
        <v>11</v>
      </c>
      <c r="H22" s="90"/>
      <c r="I22" s="88"/>
    </row>
    <row r="23" spans="2:9" ht="22.5" x14ac:dyDescent="0.2">
      <c r="B23" s="54"/>
      <c r="C23" s="111" t="s">
        <v>14</v>
      </c>
      <c r="D23" s="93">
        <v>886328159.97000122</v>
      </c>
      <c r="E23" s="51">
        <v>1174903923</v>
      </c>
      <c r="F23" s="119"/>
      <c r="G23" s="110" t="s">
        <v>34</v>
      </c>
      <c r="H23" s="73"/>
      <c r="I23" s="88"/>
    </row>
    <row r="24" spans="2:9" ht="22.5" x14ac:dyDescent="0.2">
      <c r="B24" s="54"/>
      <c r="C24" s="111" t="s">
        <v>15</v>
      </c>
      <c r="D24" s="93">
        <v>268114354.32999998</v>
      </c>
      <c r="E24" s="51">
        <v>268185891.81999999</v>
      </c>
      <c r="F24" s="119"/>
      <c r="G24" s="111" t="s">
        <v>35</v>
      </c>
      <c r="H24" s="91">
        <v>19549535.440000001</v>
      </c>
      <c r="I24" s="92">
        <v>19549535.440000001</v>
      </c>
    </row>
    <row r="25" spans="2:9" ht="22.5" x14ac:dyDescent="0.2">
      <c r="B25" s="54"/>
      <c r="C25" s="111" t="s">
        <v>16</v>
      </c>
      <c r="D25" s="93">
        <v>53735203286.059998</v>
      </c>
      <c r="E25" s="51">
        <v>41094153212</v>
      </c>
      <c r="F25" s="119"/>
      <c r="G25" s="123" t="s">
        <v>36</v>
      </c>
      <c r="H25" s="91">
        <v>10.76</v>
      </c>
      <c r="I25" s="92">
        <v>10.76</v>
      </c>
    </row>
    <row r="26" spans="2:9" x14ac:dyDescent="0.2">
      <c r="B26" s="40"/>
      <c r="C26" s="111" t="s">
        <v>17</v>
      </c>
      <c r="D26" s="93">
        <v>7762052124.2999992</v>
      </c>
      <c r="E26" s="51">
        <v>7267450307.0199986</v>
      </c>
      <c r="F26" s="119"/>
      <c r="G26" s="123" t="s">
        <v>37</v>
      </c>
      <c r="H26" s="91">
        <v>19167313156.52</v>
      </c>
      <c r="I26" s="92">
        <v>19341156021.330002</v>
      </c>
    </row>
    <row r="27" spans="2:9" x14ac:dyDescent="0.2">
      <c r="B27" s="50"/>
      <c r="C27" s="111" t="s">
        <v>18</v>
      </c>
      <c r="D27" s="93">
        <v>326046964.60000002</v>
      </c>
      <c r="E27" s="51">
        <v>314747211.22000003</v>
      </c>
      <c r="F27" s="119"/>
      <c r="G27" s="123" t="s">
        <v>38</v>
      </c>
      <c r="H27" s="93">
        <v>0</v>
      </c>
      <c r="I27" s="51">
        <v>0</v>
      </c>
    </row>
    <row r="28" spans="2:9" ht="33.75" x14ac:dyDescent="0.2">
      <c r="B28" s="54"/>
      <c r="C28" s="111" t="s">
        <v>19</v>
      </c>
      <c r="D28" s="73">
        <v>-2747289129.9399996</v>
      </c>
      <c r="E28" s="88">
        <v>-2019765421.24</v>
      </c>
      <c r="F28" s="125"/>
      <c r="G28" s="123" t="s">
        <v>39</v>
      </c>
      <c r="H28" s="91">
        <v>152282728.37</v>
      </c>
      <c r="I28" s="92">
        <v>129656514.66</v>
      </c>
    </row>
    <row r="29" spans="2:9" x14ac:dyDescent="0.2">
      <c r="B29" s="40"/>
      <c r="C29" s="111" t="s">
        <v>20</v>
      </c>
      <c r="D29" s="93">
        <v>32457644.670000002</v>
      </c>
      <c r="E29" s="51">
        <v>32457644.670000002</v>
      </c>
      <c r="F29" s="119"/>
      <c r="G29" s="123" t="s">
        <v>40</v>
      </c>
      <c r="H29" s="91">
        <v>7629149.71</v>
      </c>
      <c r="I29" s="92">
        <v>5314612.4000000004</v>
      </c>
    </row>
    <row r="30" spans="2:9" ht="22.5" x14ac:dyDescent="0.2">
      <c r="B30" s="54"/>
      <c r="C30" s="111" t="s">
        <v>21</v>
      </c>
      <c r="D30" s="93">
        <v>0</v>
      </c>
      <c r="E30" s="51">
        <v>0</v>
      </c>
      <c r="F30" s="119"/>
      <c r="G30" s="123" t="s">
        <v>11</v>
      </c>
      <c r="H30" s="94"/>
      <c r="I30" s="88"/>
    </row>
    <row r="31" spans="2:9" x14ac:dyDescent="0.2">
      <c r="B31" s="54"/>
      <c r="C31" s="111" t="s">
        <v>22</v>
      </c>
      <c r="D31" s="93">
        <v>0</v>
      </c>
      <c r="E31" s="51">
        <v>0</v>
      </c>
      <c r="F31" s="119"/>
      <c r="G31" s="123" t="s">
        <v>11</v>
      </c>
      <c r="H31" s="72"/>
      <c r="I31" s="89"/>
    </row>
    <row r="32" spans="2:9" ht="12.75" customHeight="1" x14ac:dyDescent="0.2">
      <c r="B32" s="36"/>
      <c r="C32" s="111" t="s">
        <v>11</v>
      </c>
      <c r="D32" s="94"/>
      <c r="E32" s="101"/>
      <c r="F32" s="121"/>
      <c r="G32" s="84" t="s">
        <v>41</v>
      </c>
      <c r="H32" s="72">
        <f>SUM(H24:H31)</f>
        <v>19346774580.799999</v>
      </c>
      <c r="I32" s="89">
        <f>SUM(I24:I31)</f>
        <v>19495676694.590004</v>
      </c>
    </row>
    <row r="33" spans="2:9" x14ac:dyDescent="0.2">
      <c r="B33" s="36"/>
      <c r="C33" s="112" t="s">
        <v>23</v>
      </c>
      <c r="D33" s="105">
        <f>SUM(D23:D32)</f>
        <v>60262913403.989998</v>
      </c>
      <c r="E33" s="106">
        <f>SUM(E23:E32)</f>
        <v>48132132768.489998</v>
      </c>
      <c r="F33" s="122"/>
      <c r="G33" s="84" t="s">
        <v>11</v>
      </c>
      <c r="H33" s="95"/>
      <c r="I33" s="96"/>
    </row>
    <row r="34" spans="2:9" ht="24" customHeight="1" thickBot="1" x14ac:dyDescent="0.25">
      <c r="B34" s="36"/>
      <c r="C34" s="112" t="s">
        <v>59</v>
      </c>
      <c r="D34" s="107">
        <f>+D20+D33</f>
        <v>67511101158.269997</v>
      </c>
      <c r="E34" s="108">
        <f>+E20+E33</f>
        <v>54081311299.589996</v>
      </c>
      <c r="F34" s="126"/>
      <c r="G34" s="127" t="s">
        <v>42</v>
      </c>
      <c r="H34" s="72">
        <f>+H32+H21</f>
        <v>29446865489.66</v>
      </c>
      <c r="I34" s="89">
        <f>+I21+I32</f>
        <v>28149325158.240005</v>
      </c>
    </row>
    <row r="35" spans="2:9" ht="13.5" thickTop="1" x14ac:dyDescent="0.2">
      <c r="B35" s="36"/>
      <c r="C35" s="112"/>
      <c r="D35" s="55"/>
      <c r="E35" s="53"/>
      <c r="F35" s="122"/>
      <c r="G35" s="111" t="s">
        <v>11</v>
      </c>
      <c r="H35" s="73"/>
      <c r="I35" s="88"/>
    </row>
    <row r="36" spans="2:9" x14ac:dyDescent="0.2">
      <c r="B36" s="36"/>
      <c r="C36" s="113" t="s">
        <v>11</v>
      </c>
      <c r="D36" s="85"/>
      <c r="E36" s="56"/>
      <c r="F36" s="128"/>
      <c r="G36" s="127" t="s">
        <v>43</v>
      </c>
      <c r="H36" s="73"/>
      <c r="I36" s="88"/>
    </row>
    <row r="37" spans="2:9" ht="22.5" x14ac:dyDescent="0.2">
      <c r="B37" s="36"/>
      <c r="C37" s="113" t="s">
        <v>11</v>
      </c>
      <c r="D37" s="85"/>
      <c r="E37" s="56"/>
      <c r="F37" s="128"/>
      <c r="G37" s="127" t="s">
        <v>44</v>
      </c>
      <c r="H37" s="72">
        <f>SUM(H38:H40)</f>
        <v>11533529859.129993</v>
      </c>
      <c r="I37" s="89">
        <f>SUM(I38:I40)</f>
        <v>11478475040.440001</v>
      </c>
    </row>
    <row r="38" spans="2:9" x14ac:dyDescent="0.2">
      <c r="B38" s="36"/>
      <c r="C38" s="113" t="s">
        <v>11</v>
      </c>
      <c r="D38" s="85"/>
      <c r="E38" s="56"/>
      <c r="F38" s="128"/>
      <c r="G38" s="111" t="s">
        <v>45</v>
      </c>
      <c r="H38" s="73">
        <v>10396475785.239994</v>
      </c>
      <c r="I38" s="88">
        <v>10385516180</v>
      </c>
    </row>
    <row r="39" spans="2:9" x14ac:dyDescent="0.2">
      <c r="B39" s="36"/>
      <c r="C39" s="113" t="s">
        <v>11</v>
      </c>
      <c r="D39" s="85"/>
      <c r="E39" s="56"/>
      <c r="F39" s="128"/>
      <c r="G39" s="111" t="s">
        <v>46</v>
      </c>
      <c r="H39" s="73">
        <v>1120806628.47</v>
      </c>
      <c r="I39" s="88">
        <v>1076711415.02</v>
      </c>
    </row>
    <row r="40" spans="2:9" ht="22.5" x14ac:dyDescent="0.2">
      <c r="B40" s="36"/>
      <c r="C40" s="113" t="s">
        <v>11</v>
      </c>
      <c r="D40" s="85"/>
      <c r="E40" s="56"/>
      <c r="F40" s="128"/>
      <c r="G40" s="111" t="s">
        <v>47</v>
      </c>
      <c r="H40" s="73">
        <v>16247445.420000002</v>
      </c>
      <c r="I40" s="88">
        <v>16247445.42</v>
      </c>
    </row>
    <row r="41" spans="2:9" x14ac:dyDescent="0.2">
      <c r="B41" s="36"/>
      <c r="C41" s="113" t="s">
        <v>11</v>
      </c>
      <c r="D41" s="85"/>
      <c r="E41" s="56"/>
      <c r="F41" s="128"/>
      <c r="G41" s="127" t="s">
        <v>11</v>
      </c>
      <c r="H41" s="73"/>
      <c r="I41" s="88"/>
    </row>
    <row r="42" spans="2:9" ht="22.5" x14ac:dyDescent="0.2">
      <c r="B42" s="36"/>
      <c r="C42" s="113" t="s">
        <v>11</v>
      </c>
      <c r="D42" s="85"/>
      <c r="E42" s="56"/>
      <c r="F42" s="128"/>
      <c r="G42" s="127" t="s">
        <v>48</v>
      </c>
      <c r="H42" s="72">
        <f>SUM(H43:H47)</f>
        <v>26530705809.479992</v>
      </c>
      <c r="I42" s="97">
        <f>SUM(I43:I47)</f>
        <v>14453511099.510002</v>
      </c>
    </row>
    <row r="43" spans="2:9" ht="22.5" x14ac:dyDescent="0.2">
      <c r="B43" s="36"/>
      <c r="C43" s="113" t="s">
        <v>11</v>
      </c>
      <c r="D43" s="85"/>
      <c r="E43" s="56"/>
      <c r="F43" s="128"/>
      <c r="G43" s="129" t="s">
        <v>49</v>
      </c>
      <c r="H43" s="73">
        <v>3182033041.4400001</v>
      </c>
      <c r="I43" s="88">
        <v>3265033705</v>
      </c>
    </row>
    <row r="44" spans="2:9" x14ac:dyDescent="0.2">
      <c r="B44" s="36"/>
      <c r="C44" s="113" t="s">
        <v>11</v>
      </c>
      <c r="D44" s="85"/>
      <c r="E44" s="56"/>
      <c r="F44" s="128"/>
      <c r="G44" s="129" t="s">
        <v>50</v>
      </c>
      <c r="H44" s="73">
        <v>18863796924.609997</v>
      </c>
      <c r="I44" s="88">
        <v>15757002782.93</v>
      </c>
    </row>
    <row r="45" spans="2:9" x14ac:dyDescent="0.2">
      <c r="B45" s="36"/>
      <c r="C45" s="113" t="s">
        <v>11</v>
      </c>
      <c r="D45" s="85"/>
      <c r="E45" s="56"/>
      <c r="F45" s="128"/>
      <c r="G45" s="111" t="s">
        <v>51</v>
      </c>
      <c r="H45" s="73">
        <v>26383479347.939999</v>
      </c>
      <c r="I45" s="88">
        <v>17416153039.110001</v>
      </c>
    </row>
    <row r="46" spans="2:9" x14ac:dyDescent="0.2">
      <c r="B46" s="36"/>
      <c r="C46" s="113" t="s">
        <v>11</v>
      </c>
      <c r="D46" s="85"/>
      <c r="E46" s="56"/>
      <c r="F46" s="128"/>
      <c r="G46" s="111" t="s">
        <v>52</v>
      </c>
      <c r="H46" s="73">
        <v>0</v>
      </c>
      <c r="I46" s="88">
        <v>0</v>
      </c>
    </row>
    <row r="47" spans="2:9" ht="22.5" x14ac:dyDescent="0.2">
      <c r="B47" s="36"/>
      <c r="C47" s="113" t="s">
        <v>11</v>
      </c>
      <c r="D47" s="85"/>
      <c r="E47" s="56"/>
      <c r="F47" s="128"/>
      <c r="G47" s="111" t="s">
        <v>53</v>
      </c>
      <c r="H47" s="73">
        <v>-21898603504.509998</v>
      </c>
      <c r="I47" s="88">
        <v>-21984678427.529999</v>
      </c>
    </row>
    <row r="48" spans="2:9" x14ac:dyDescent="0.2">
      <c r="B48" s="36"/>
      <c r="C48" s="113" t="s">
        <v>11</v>
      </c>
      <c r="D48" s="85"/>
      <c r="E48" s="57"/>
      <c r="F48" s="128"/>
      <c r="G48" s="127" t="s">
        <v>11</v>
      </c>
      <c r="H48" s="72"/>
      <c r="I48" s="89"/>
    </row>
    <row r="49" spans="2:13" ht="33.75" x14ac:dyDescent="0.2">
      <c r="B49" s="36"/>
      <c r="C49" s="113" t="s">
        <v>11</v>
      </c>
      <c r="D49" s="85"/>
      <c r="E49" s="57"/>
      <c r="F49" s="128"/>
      <c r="G49" s="127" t="s">
        <v>54</v>
      </c>
      <c r="H49" s="95">
        <f>+H50+H51</f>
        <v>0</v>
      </c>
      <c r="I49" s="96">
        <v>0</v>
      </c>
    </row>
    <row r="50" spans="2:13" x14ac:dyDescent="0.2">
      <c r="B50" s="36"/>
      <c r="C50" s="114" t="s">
        <v>11</v>
      </c>
      <c r="D50" s="86"/>
      <c r="E50" s="38"/>
      <c r="F50" s="116"/>
      <c r="G50" s="87" t="s">
        <v>55</v>
      </c>
      <c r="H50" s="98">
        <v>0</v>
      </c>
      <c r="I50" s="83">
        <v>0</v>
      </c>
    </row>
    <row r="51" spans="2:13" ht="22.5" x14ac:dyDescent="0.2">
      <c r="B51" s="40"/>
      <c r="C51" s="109" t="s">
        <v>11</v>
      </c>
      <c r="D51" s="58"/>
      <c r="E51" s="38"/>
      <c r="F51" s="116"/>
      <c r="G51" s="111" t="s">
        <v>56</v>
      </c>
      <c r="H51" s="90">
        <v>0</v>
      </c>
      <c r="I51" s="83">
        <v>0</v>
      </c>
    </row>
    <row r="52" spans="2:13" x14ac:dyDescent="0.2">
      <c r="B52" s="36"/>
      <c r="C52" s="109" t="s">
        <v>11</v>
      </c>
      <c r="D52" s="58"/>
      <c r="E52" s="38"/>
      <c r="F52" s="116"/>
      <c r="G52" s="127" t="s">
        <v>11</v>
      </c>
      <c r="H52" s="90"/>
      <c r="I52" s="83"/>
    </row>
    <row r="53" spans="2:13" ht="22.5" x14ac:dyDescent="0.2">
      <c r="B53" s="40"/>
      <c r="C53" s="109" t="s">
        <v>11</v>
      </c>
      <c r="D53" s="45"/>
      <c r="E53" s="46"/>
      <c r="F53" s="119"/>
      <c r="G53" s="127" t="s">
        <v>57</v>
      </c>
      <c r="H53" s="72">
        <f>+H37+H42</f>
        <v>38064235668.609985</v>
      </c>
      <c r="I53" s="89">
        <f>+I37+I42</f>
        <v>25931986139.950005</v>
      </c>
    </row>
    <row r="54" spans="2:13" x14ac:dyDescent="0.2">
      <c r="B54" s="40"/>
      <c r="C54" s="109" t="s">
        <v>11</v>
      </c>
      <c r="D54" s="45"/>
      <c r="E54" s="46"/>
      <c r="F54" s="119"/>
      <c r="G54" s="127" t="s">
        <v>11</v>
      </c>
      <c r="H54" s="73"/>
      <c r="I54" s="88"/>
    </row>
    <row r="55" spans="2:13" ht="23.25" thickBot="1" x14ac:dyDescent="0.25">
      <c r="B55" s="40"/>
      <c r="C55" s="109" t="s">
        <v>11</v>
      </c>
      <c r="D55" s="45"/>
      <c r="E55" s="46"/>
      <c r="F55" s="119"/>
      <c r="G55" s="127" t="s">
        <v>58</v>
      </c>
      <c r="H55" s="99">
        <f>+H34+H53</f>
        <v>67511101158.269989</v>
      </c>
      <c r="I55" s="100">
        <f>+I34+I53</f>
        <v>54081311298.19001</v>
      </c>
      <c r="L55" s="30"/>
      <c r="M55" s="30"/>
    </row>
    <row r="56" spans="2:13" ht="13.5" thickTop="1" x14ac:dyDescent="0.2">
      <c r="B56" s="40"/>
      <c r="C56" s="59"/>
      <c r="D56" s="45"/>
      <c r="E56" s="46"/>
      <c r="F56" s="119"/>
      <c r="G56" s="127"/>
      <c r="H56" s="43"/>
      <c r="I56" s="44"/>
    </row>
    <row r="57" spans="2:13" ht="13.5" thickBot="1" x14ac:dyDescent="0.25">
      <c r="B57" s="60"/>
      <c r="C57" s="61"/>
      <c r="D57" s="62"/>
      <c r="E57" s="63"/>
      <c r="F57" s="130"/>
      <c r="G57" s="64"/>
      <c r="H57" s="65"/>
      <c r="I57" s="81"/>
    </row>
    <row r="58" spans="2:13" x14ac:dyDescent="0.2">
      <c r="H58" s="30"/>
    </row>
    <row r="59" spans="2:13" x14ac:dyDescent="0.2">
      <c r="H59" s="5"/>
    </row>
    <row r="60" spans="2:13" ht="25.5" customHeight="1" x14ac:dyDescent="0.2">
      <c r="G60" s="134"/>
      <c r="H60" s="134"/>
      <c r="I60" s="134"/>
    </row>
    <row r="61" spans="2:13" x14ac:dyDescent="0.2">
      <c r="H61" s="11"/>
    </row>
    <row r="62" spans="2:13" x14ac:dyDescent="0.2">
      <c r="H62" s="12"/>
    </row>
    <row r="64" spans="2:13" x14ac:dyDescent="0.2">
      <c r="H64" s="28"/>
    </row>
    <row r="65" spans="2:8" ht="15.75" customHeight="1" x14ac:dyDescent="0.2">
      <c r="C65" s="132"/>
      <c r="D65" s="132"/>
      <c r="G65" s="132"/>
      <c r="H65" s="132"/>
    </row>
    <row r="66" spans="2:8" ht="15.75" customHeight="1" x14ac:dyDescent="0.2">
      <c r="C66" s="132"/>
      <c r="D66" s="132"/>
      <c r="G66" s="133"/>
      <c r="H66" s="133"/>
    </row>
    <row r="69" spans="2:8" ht="15" x14ac:dyDescent="0.25">
      <c r="B69" s="15"/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 t="e">
        <f>[1]!BexGetCellData("003N8D85VN5WHY95OZ9S05CNN","","DP_2")</f>
        <v>#VALUE!</v>
      </c>
      <c r="C1" s="10" t="e">
        <f>[1]!BexGetCellData("003N8D85VN5Y88OYUKVCK6RBE","","DP_2")</f>
        <v>#VALUE!</v>
      </c>
    </row>
    <row r="2" spans="1:3" x14ac:dyDescent="0.2">
      <c r="A2" s="10" t="e">
        <f>[1]!BexGetCellData("","003N8D85VN5WHXYYGMBJV0SGC","DP_2")</f>
        <v>#VALUE!</v>
      </c>
      <c r="B2" s="8" t="e">
        <f>[1]!BexGetCellData("003N8D85VN5WHY95OZ9S05CNN","003N8D85VN5WHXYYGMBJV0SGC","DP_2")</f>
        <v>#VALUE!</v>
      </c>
      <c r="C2" s="8" t="e">
        <f>[1]!BexGetCellData("003N8D85VN5Y88OYUKVCK6RBE","003N8D85VN5WHXYYGMBJV0SGC","DP_2")</f>
        <v>#VALUE!</v>
      </c>
    </row>
    <row r="3" spans="1:3" x14ac:dyDescent="0.2">
      <c r="A3" s="10" t="e">
        <f>[1]!BexGetCellData("","003N8D85VN5WHXYYHQTX0GZDH","DP_2")</f>
        <v>#VALUE!</v>
      </c>
      <c r="B3" s="8" t="e">
        <f>[1]!BexGetCellData("003N8D85VN5WHY95OZ9S05CNN","003N8D85VN5WHXYYHQTX0GZDH","DP_2")</f>
        <v>#VALUE!</v>
      </c>
      <c r="C3" s="8" t="e">
        <f>[1]!BexGetCellData("003N8D85VN5Y88OYUKVCK6RBE","003N8D85VN5WHXYYHQTX0GZDH","DP_2")</f>
        <v>#VALUE!</v>
      </c>
    </row>
    <row r="4" spans="1:3" x14ac:dyDescent="0.2">
      <c r="A4" s="10" t="e">
        <f>[1]!BexGetCellData("","003N8D85VN5WHXYYIHA312Z2T","DP_2")</f>
        <v>#VALUE!</v>
      </c>
      <c r="B4" s="6" t="e">
        <f>[1]!BexGetCellData("003N8D85VN5WHY95OZ9S05CNN","003N8D85VN5WHXYYIHA312Z2T","DP_2")</f>
        <v>#VALUE!</v>
      </c>
      <c r="C4" s="6" t="e">
        <f>[1]!BexGetCellData("003N8D85VN5Y88OYUKVCK6RBE","003N8D85VN5WHXYYIHA312Z2T","DP_2")</f>
        <v>#VALUE!</v>
      </c>
    </row>
    <row r="5" spans="1:3" x14ac:dyDescent="0.2">
      <c r="A5" s="10" t="e">
        <f>[1]!BexGetCellData("","003N8D85VN5WHXYYJFH6AB0UT","DP_2")</f>
        <v>#VALUE!</v>
      </c>
      <c r="B5" s="6" t="e">
        <f>[1]!BexGetCellData("003N8D85VN5WHY95OZ9S05CNN","003N8D85VN5WHXYYJFH6AB0UT","DP_2")</f>
        <v>#VALUE!</v>
      </c>
      <c r="C5" s="6" t="e">
        <f>[1]!BexGetCellData("003N8D85VN5Y88OYUKVCK6RBE","003N8D85VN5WHXYYJFH6AB0UT","DP_2")</f>
        <v>#VALUE!</v>
      </c>
    </row>
    <row r="6" spans="1:3" x14ac:dyDescent="0.2">
      <c r="A6" s="10" t="e">
        <f>[1]!BexGetCellData("","003N8D85VN5WHXYYK9UP6GOPK","DP_2")</f>
        <v>#VALUE!</v>
      </c>
      <c r="B6" s="6" t="e">
        <f>[1]!BexGetCellData("003N8D85VN5WHY95OZ9S05CNN","003N8D85VN5WHXYYK9UP6GOPK","DP_2")</f>
        <v>#VALUE!</v>
      </c>
      <c r="C6" s="6" t="e">
        <f>[1]!BexGetCellData("003N8D85VN5Y88OYUKVCK6RBE","003N8D85VN5WHXYYK9UP6GOPK","DP_2")</f>
        <v>#VALUE!</v>
      </c>
    </row>
    <row r="7" spans="1:3" x14ac:dyDescent="0.2">
      <c r="A7" s="10" t="e">
        <f>[1]!BexGetCellData("","003N8D85VN5WHXYYKUQD6W1SO","DP_2")</f>
        <v>#VALUE!</v>
      </c>
      <c r="B7" s="7" t="e">
        <f>[1]!BexGetCellData("003N8D85VN5WHY95OZ9S05CNN","003N8D85VN5WHXYYKUQD6W1SO","DP_2")</f>
        <v>#VALUE!</v>
      </c>
      <c r="C7" s="8" t="e">
        <f>[1]!BexGetCellData("003N8D85VN5Y88OYUKVCK6RBE","003N8D85VN5WHXYYKUQD6W1SO","DP_2")</f>
        <v>#VALUE!</v>
      </c>
    </row>
    <row r="8" spans="1:3" x14ac:dyDescent="0.2">
      <c r="A8" s="10" t="e">
        <f>[1]!BexGetCellData("","003N8D85VN5WHXYYLGK325FDM","DP_2")</f>
        <v>#VALUE!</v>
      </c>
      <c r="B8" s="6" t="e">
        <f>[1]!BexGetCellData("003N8D85VN5WHY95OZ9S05CNN","003N8D85VN5WHXYYLGK325FDM","DP_2")</f>
        <v>#VALUE!</v>
      </c>
      <c r="C8" s="6" t="e">
        <f>[1]!BexGetCellData("003N8D85VN5Y88OYUKVCK6RBE","003N8D85VN5WHXYYLGK325FDM","DP_2")</f>
        <v>#VALUE!</v>
      </c>
    </row>
    <row r="9" spans="1:3" x14ac:dyDescent="0.2">
      <c r="A9" s="10" t="e">
        <f>[1]!BexGetCellData("","003N8D85VN5WHXYYM00MY6RKQ","DP_2")</f>
        <v>#VALUE!</v>
      </c>
      <c r="B9" s="7" t="e">
        <f>[1]!BexGetCellData("003N8D85VN5WHY95OZ9S05CNN","003N8D85VN5WHXYYM00MY6RKQ","DP_2")</f>
        <v>#VALUE!</v>
      </c>
      <c r="C9" s="8" t="e">
        <f>[1]!BexGetCellData("003N8D85VN5Y88OYUKVCK6RBE","003N8D85VN5WHXYYM00MY6RKQ","DP_2")</f>
        <v>#VALUE!</v>
      </c>
    </row>
    <row r="10" spans="1:3" x14ac:dyDescent="0.2">
      <c r="A10" s="10" t="e">
        <f>[1]!BexGetCellData("","003N8D85VN5WHXYYMNG18MZVE","DP_2")</f>
        <v>#VALUE!</v>
      </c>
      <c r="B10" s="7" t="e">
        <f>[1]!BexGetCellData("003N8D85VN5WHY95OZ9S05CNN","003N8D85VN5WHXYYMNG18MZVE","DP_2")</f>
        <v>#VALUE!</v>
      </c>
      <c r="C10" s="6" t="e">
        <f>[1]!BexGetCellData("003N8D85VN5Y88OYUKVCK6RBE","003N8D85VN5WHXYYMNG18MZVE","DP_2")</f>
        <v>#VALUE!</v>
      </c>
    </row>
    <row r="11" spans="1:3" x14ac:dyDescent="0.2">
      <c r="A11" s="10" t="e">
        <f>[1]!BexGetCellData("","003N8D85VN5WHY982ZBRCCOPL","DP_2")</f>
        <v>#VALUE!</v>
      </c>
      <c r="B11" s="6" t="e">
        <f>[1]!BexGetCellData("003N8D85VN5WHY95OZ9S05CNN","003N8D85VN5WHY982ZBRCCOPL","DP_2")</f>
        <v>#VALUE!</v>
      </c>
      <c r="C11" s="6" t="e">
        <f>[1]!BexGetCellData("003N8D85VN5Y88OYUKVCK6RBE","003N8D85VN5WHY982ZBRCCOPL","DP_2")</f>
        <v>#VALUE!</v>
      </c>
    </row>
    <row r="12" spans="1:3" x14ac:dyDescent="0.2">
      <c r="A12" s="10" t="e">
        <f>[1]!BexGetCellData("","003N8D85VN5WHY8XRC4EJO2A6","DP_2")</f>
        <v>#VALUE!</v>
      </c>
      <c r="B12" s="8" t="e">
        <f>[1]!BexGetCellData("003N8D85VN5WHY95OZ9S05CNN","003N8D85VN5WHY8XRC4EJO2A6","DP_2")</f>
        <v>#VALUE!</v>
      </c>
      <c r="C12" s="8" t="e">
        <f>[1]!BexGetCellData("003N8D85VN5Y88OYUKVCK6RBE","003N8D85VN5WHY8XRC4EJO2A6","DP_2")</f>
        <v>#VALUE!</v>
      </c>
    </row>
    <row r="13" spans="1:3" x14ac:dyDescent="0.2">
      <c r="A13" s="10" t="e">
        <f>[1]!BexGetCellData("","003N8D85VN5WHY8XSMJG84OEO","DP_2")</f>
        <v>#VALUE!</v>
      </c>
      <c r="B13" s="6" t="e">
        <f>[1]!BexGetCellData("003N8D85VN5WHY95OZ9S05CNN","003N8D85VN5WHY8XSMJG84OEO","DP_2")</f>
        <v>#VALUE!</v>
      </c>
      <c r="C13" s="6" t="e">
        <f>[1]!BexGetCellData("003N8D85VN5Y88OYUKVCK6RBE","003N8D85VN5WHY8XSMJG84OEO","DP_2")</f>
        <v>#VALUE!</v>
      </c>
    </row>
    <row r="14" spans="1:3" x14ac:dyDescent="0.2">
      <c r="A14" s="10" t="e">
        <f>[1]!BexGetCellData("","003N8D85VN5WHY8XTPY9O3YC0","DP_2")</f>
        <v>#VALUE!</v>
      </c>
      <c r="B14" s="6" t="e">
        <f>[1]!BexGetCellData("003N8D85VN5WHY95OZ9S05CNN","003N8D85VN5WHY8XTPY9O3YC0","DP_2")</f>
        <v>#VALUE!</v>
      </c>
      <c r="C14" s="6" t="e">
        <f>[1]!BexGetCellData("003N8D85VN5Y88OYUKVCK6RBE","003N8D85VN5WHY8XTPY9O3YC0","DP_2")</f>
        <v>#VALUE!</v>
      </c>
    </row>
    <row r="15" spans="1:3" x14ac:dyDescent="0.2">
      <c r="A15" s="10" t="e">
        <f>[1]!BexGetCellData("","003N8D85VN5WHY8XUMAM086U3","DP_2")</f>
        <v>#VALUE!</v>
      </c>
      <c r="B15" s="6" t="e">
        <f>[1]!BexGetCellData("003N8D85VN5WHY95OZ9S05CNN","003N8D85VN5WHY8XUMAM086U3","DP_2")</f>
        <v>#VALUE!</v>
      </c>
      <c r="C15" s="6" t="e">
        <f>[1]!BexGetCellData("003N8D85VN5Y88OYUKVCK6RBE","003N8D85VN5WHY8XUMAM086U3","DP_2")</f>
        <v>#VALUE!</v>
      </c>
    </row>
    <row r="16" spans="1:3" x14ac:dyDescent="0.2">
      <c r="A16" s="10" t="e">
        <f>[1]!BexGetCellData("","003N8D85VN5WHY8XXSRX4Y00S","DP_2")</f>
        <v>#VALUE!</v>
      </c>
      <c r="B16" s="6" t="e">
        <f>[1]!BexGetCellData("003N8D85VN5WHY95OZ9S05CNN","003N8D85VN5WHY8XXSRX4Y00S","DP_2")</f>
        <v>#VALUE!</v>
      </c>
      <c r="C16" s="6" t="e">
        <f>[1]!BexGetCellData("003N8D85VN5Y88OYUKVCK6RBE","003N8D85VN5WHY8XXSRX4Y00S","DP_2")</f>
        <v>#VALUE!</v>
      </c>
    </row>
    <row r="17" spans="1:3" x14ac:dyDescent="0.2">
      <c r="A17" s="10" t="e">
        <f>[1]!BexGetCellData("","003N8D85VN5WHY8XYL34N049R","DP_2")</f>
        <v>#VALUE!</v>
      </c>
      <c r="B17" s="6" t="e">
        <f>[1]!BexGetCellData("003N8D85VN5WHY95OZ9S05CNN","003N8D85VN5WHY8XYL34N049R","DP_2")</f>
        <v>#VALUE!</v>
      </c>
      <c r="C17" s="6" t="e">
        <f>[1]!BexGetCellData("003N8D85VN5Y88OYUKVCK6RBE","003N8D85VN5WHY8XYL34N049R","DP_2")</f>
        <v>#VALUE!</v>
      </c>
    </row>
    <row r="18" spans="1:3" x14ac:dyDescent="0.2">
      <c r="A18" s="10" t="e">
        <f>[1]!BexGetCellData("","003N8D85VN5WHY8YD4DQ8QRBA","DP_2")</f>
        <v>#VALUE!</v>
      </c>
      <c r="B18" s="6" t="e">
        <f>[1]!BexGetCellData("003N8D85VN5WHY95OZ9S05CNN","003N8D85VN5WHY8YD4DQ8QRBA","DP_2")</f>
        <v>#VALUE!</v>
      </c>
      <c r="C18" s="6" t="e">
        <f>[1]!BexGetCellData("003N8D85VN5Y88OYUKVCK6RBE","003N8D85VN5WHY8YD4DQ8QRBA","DP_2")</f>
        <v>#VALUE!</v>
      </c>
    </row>
    <row r="19" spans="1:3" x14ac:dyDescent="0.2">
      <c r="A19" s="10" t="e">
        <f>[1]!BexGetCellData("","003N8D85VN5WHY8YD4DQ8QXMU","DP_2")</f>
        <v>#VALUE!</v>
      </c>
      <c r="B19" s="6" t="e">
        <f>[1]!BexGetCellData("003N8D85VN5WHY95OZ9S05CNN","003N8D85VN5WHY8YD4DQ8QXMU","DP_2")</f>
        <v>#VALUE!</v>
      </c>
      <c r="C19" s="6" t="e">
        <f>[1]!BexGetCellData("003N8D85VN5Y88OYUKVCK6RBE","003N8D85VN5WHY8YD4DQ8QXMU","DP_2")</f>
        <v>#VALUE!</v>
      </c>
    </row>
    <row r="20" spans="1:3" x14ac:dyDescent="0.2">
      <c r="A20" s="10" t="e">
        <f>[1]!BexGetCellData("","003N8D85VN5WHY8YDWUARZIRR","DP_2")</f>
        <v>#VALUE!</v>
      </c>
      <c r="B20" s="7" t="e">
        <f>[1]!BexGetCellData("003N8D85VN5WHY95OZ9S05CNN","003N8D85VN5WHY8YDWUARZIRR","DP_2")</f>
        <v>#VALUE!</v>
      </c>
      <c r="C20" s="8" t="e">
        <f>[1]!BexGetCellData("003N8D85VN5Y88OYUKVCK6RBE","003N8D85VN5WHY8YDWUARZIRR","DP_2")</f>
        <v>#VALUE!</v>
      </c>
    </row>
    <row r="21" spans="1:3" x14ac:dyDescent="0.2">
      <c r="A21" s="10" t="e">
        <f>[1]!BexGetCellData("","003N8D85VN5WHY8YEO01MMKSN","DP_2")</f>
        <v>#VALUE!</v>
      </c>
      <c r="B21" s="7" t="e">
        <f>[1]!BexGetCellData("003N8D85VN5WHY95OZ9S05CNN","003N8D85VN5WHY8YEO01MMKSN","DP_2")</f>
        <v>#VALUE!</v>
      </c>
      <c r="C21" s="8" t="e">
        <f>[1]!BexGetCellData("003N8D85VN5Y88OYUKVCK6RBE","003N8D85VN5WHY8YEO01MMKSN","DP_2")</f>
        <v>#VALUE!</v>
      </c>
    </row>
    <row r="22" spans="1:3" x14ac:dyDescent="0.2">
      <c r="A22" s="10" t="e">
        <f>[1]!BexGetCellData("","003N8D85VN5WHY984PA514PP8","DP_2")</f>
        <v>#VALUE!</v>
      </c>
      <c r="B22" s="6" t="e">
        <f>[1]!BexGetCellData("003N8D85VN5WHY95OZ9S05CNN","003N8D85VN5WHY984PA514PP8","DP_2")</f>
        <v>#VALUE!</v>
      </c>
      <c r="C22" s="6" t="e">
        <f>[1]!BexGetCellData("003N8D85VN5Y88OYUKVCK6RBE","003N8D85VN5WHY984PA514PP8","DP_2")</f>
        <v>#VALUE!</v>
      </c>
    </row>
    <row r="23" spans="1:3" x14ac:dyDescent="0.2">
      <c r="A23" s="10" t="e">
        <f>[1]!BexGetCellData("","003N8D85VN5WHY985LPIE2C65","DP_2")</f>
        <v>#VALUE!</v>
      </c>
      <c r="B23" s="6" t="e">
        <f>[1]!BexGetCellData("003N8D85VN5WHY95OZ9S05CNN","003N8D85VN5WHY985LPIE2C65","DP_2")</f>
        <v>#VALUE!</v>
      </c>
      <c r="C23" s="6" t="e">
        <f>[1]!BexGetCellData("003N8D85VN5Y88OYUKVCK6RBE","003N8D85VN5WHY985LPIE2C65","DP_2")</f>
        <v>#VALUE!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e">
        <f>[1]!BexGetCellData("003N8D85VN5Y88UOCOONXLKGG","","DP_3")</f>
        <v>#VALUE!</v>
      </c>
      <c r="C1" s="10" t="e">
        <f>[1]!BexGetCellData("003N8D85VN5Y88UOCOONXLQS0","","DP_3")</f>
        <v>#VALUE!</v>
      </c>
    </row>
    <row r="2" spans="1:3" x14ac:dyDescent="0.2">
      <c r="A2" s="10" t="e">
        <f>[1]!BexGetCellData("","003N8D85VN5Y88UOCOONX9SY8","DP_3")</f>
        <v>#VALUE!</v>
      </c>
      <c r="B2" s="8" t="e">
        <f>[1]!BexGetCellData("003N8D85VN5Y88UOCOONXLKGG","003N8D85VN5Y88UOCOONX9SY8","DP_3")</f>
        <v>#VALUE!</v>
      </c>
      <c r="C2" s="8" t="e">
        <f>[1]!BexGetCellData("003N8D85VN5Y88UOCOONXLQS0","003N8D85VN5Y88UOCOONX9SY8","DP_3")</f>
        <v>#VALUE!</v>
      </c>
    </row>
    <row r="3" spans="1:3" x14ac:dyDescent="0.2">
      <c r="A3" s="10" t="e">
        <f>[1]!BexGetCellData("","003N8D85VN5Y88UOCOONXABWW","DP_3")</f>
        <v>#VALUE!</v>
      </c>
      <c r="B3" s="8" t="e">
        <f>[1]!BexGetCellData("003N8D85VN5Y88UOCOONXLKGG","003N8D85VN5Y88UOCOONXABWW","DP_3")</f>
        <v>#VALUE!</v>
      </c>
      <c r="C3" s="8" t="e">
        <f>[1]!BexGetCellData("003N8D85VN5Y88UOCOONXLQS0","003N8D85VN5Y88UOCOONXABWW","DP_3")</f>
        <v>#VALUE!</v>
      </c>
    </row>
    <row r="4" spans="1:3" x14ac:dyDescent="0.2">
      <c r="A4" s="10" t="e">
        <f>[1]!BexGetCellData("","003N8D85VN5Y88UOCOONXAUVK","DP_3")</f>
        <v>#VALUE!</v>
      </c>
      <c r="B4" s="13" t="e">
        <f>[1]!BexGetCellData("003N8D85VN5Y88UOCOONXLKGG","003N8D85VN5Y88UOCOONXAUVK","DP_3")</f>
        <v>#VALUE!</v>
      </c>
      <c r="C4" s="6" t="e">
        <f>[1]!BexGetCellData("003N8D85VN5Y88UOCOONXLQS0","003N8D85VN5Y88UOCOONXAUVK","DP_3")</f>
        <v>#VALUE!</v>
      </c>
    </row>
    <row r="5" spans="1:3" x14ac:dyDescent="0.2">
      <c r="A5" s="10" t="e">
        <f>[1]!BexGetCellData("","003N8D85VN5Y88UOCOONXBDU8","DP_3")</f>
        <v>#VALUE!</v>
      </c>
      <c r="B5" s="13" t="e">
        <f>[1]!BexGetCellData("003N8D85VN5Y88UOCOONXLKGG","003N8D85VN5Y88UOCOONXBDU8","DP_3")</f>
        <v>#VALUE!</v>
      </c>
      <c r="C5" s="6" t="e">
        <f>[1]!BexGetCellData("003N8D85VN5Y88UOCOONXLQS0","003N8D85VN5Y88UOCOONXBDU8","DP_3")</f>
        <v>#VALUE!</v>
      </c>
    </row>
    <row r="6" spans="1:3" x14ac:dyDescent="0.2">
      <c r="A6" s="10" t="e">
        <f>[1]!BexGetCellData("","003N8D85VN5Y88UOCOONXBWSW","DP_3")</f>
        <v>#VALUE!</v>
      </c>
      <c r="B6" s="13" t="e">
        <f>[1]!BexGetCellData("003N8D85VN5Y88UOCOONXLKGG","003N8D85VN5Y88UOCOONXBWSW","DP_3")</f>
        <v>#VALUE!</v>
      </c>
      <c r="C6" s="6" t="e">
        <f>[1]!BexGetCellData("003N8D85VN5Y88UOCOONXLQS0","003N8D85VN5Y88UOCOONXBWSW","DP_3")</f>
        <v>#VALUE!</v>
      </c>
    </row>
    <row r="7" spans="1:3" x14ac:dyDescent="0.2">
      <c r="A7" s="10" t="e">
        <f>[1]!BexGetCellData("","003N8D85VN5Y88UOCOONXCFRK","DP_3")</f>
        <v>#VALUE!</v>
      </c>
      <c r="B7" s="14" t="e">
        <f>[1]!BexGetCellData("003N8D85VN5Y88UOCOONXLKGG","003N8D85VN5Y88UOCOONXCFRK","DP_3")</f>
        <v>#VALUE!</v>
      </c>
      <c r="C7" s="8" t="e">
        <f>[1]!BexGetCellData("003N8D85VN5Y88UOCOONXLQS0","003N8D85VN5Y88UOCOONXCFRK","DP_3")</f>
        <v>#VALUE!</v>
      </c>
    </row>
    <row r="8" spans="1:3" x14ac:dyDescent="0.2">
      <c r="A8" s="10" t="e">
        <f>[1]!BexGetCellData("","003N8D85VN5Y88UOCOONXCYQ8","DP_3")</f>
        <v>#VALUE!</v>
      </c>
      <c r="B8" s="14" t="e">
        <f>[1]!BexGetCellData("003N8D85VN5Y88UOCOONXLKGG","003N8D85VN5Y88UOCOONXCYQ8","DP_3")</f>
        <v>#VALUE!</v>
      </c>
      <c r="C8" s="8" t="e">
        <f>[1]!BexGetCellData("003N8D85VN5Y88UOCOONXLQS0","003N8D85VN5Y88UOCOONXCYQ8","DP_3")</f>
        <v>#VALUE!</v>
      </c>
    </row>
    <row r="9" spans="1:3" x14ac:dyDescent="0.2">
      <c r="A9" s="10" t="e">
        <f>[1]!BexGetCellData("","003N8D85VN5Y88UOCOONXDHOW","DP_3")</f>
        <v>#VALUE!</v>
      </c>
      <c r="B9" s="13" t="e">
        <f>[1]!BexGetCellData("003N8D85VN5Y88UOCOONXLKGG","003N8D85VN5Y88UOCOONXDHOW","DP_3")</f>
        <v>#VALUE!</v>
      </c>
      <c r="C9" s="6" t="e">
        <f>[1]!BexGetCellData("003N8D85VN5Y88UOCOONXLQS0","003N8D85VN5Y88UOCOONXDHOW","DP_3")</f>
        <v>#VALUE!</v>
      </c>
    </row>
    <row r="10" spans="1:3" x14ac:dyDescent="0.2">
      <c r="A10" s="10" t="e">
        <f>[1]!BexGetCellData("","003N8D85VN5Y88UOCOONXE0NK","DP_3")</f>
        <v>#VALUE!</v>
      </c>
      <c r="B10" s="14" t="e">
        <f>[1]!BexGetCellData("003N8D85VN5Y88UOCOONXLKGG","003N8D85VN5Y88UOCOONXE0NK","DP_3")</f>
        <v>#VALUE!</v>
      </c>
      <c r="C10" s="8" t="e">
        <f>[1]!BexGetCellData("003N8D85VN5Y88UOCOONXLQS0","003N8D85VN5Y88UOCOONXE0NK","DP_3")</f>
        <v>#VALUE!</v>
      </c>
    </row>
    <row r="11" spans="1:3" x14ac:dyDescent="0.2">
      <c r="A11" s="10" t="e">
        <f>[1]!BexGetCellData("","003N8D85VN5Y88UP9X1R0PM45","DP_3")</f>
        <v>#VALUE!</v>
      </c>
      <c r="B11" s="13" t="e">
        <f>[1]!BexGetCellData("003N8D85VN5Y88UOCOONXLKGG","003N8D85VN5Y88UP9X1R0PM45","DP_3")</f>
        <v>#VALUE!</v>
      </c>
      <c r="C11" s="6" t="e">
        <f>[1]!BexGetCellData("003N8D85VN5Y88UOCOONXLQS0","003N8D85VN5Y88UP9X1R0PM45","DP_3")</f>
        <v>#VALUE!</v>
      </c>
    </row>
    <row r="12" spans="1:3" x14ac:dyDescent="0.2">
      <c r="A12" s="10" t="e">
        <f>[1]!BexGetCellData("","003N8D85VN5Y88UOCOONXEJM8","DP_3")</f>
        <v>#VALUE!</v>
      </c>
      <c r="B12" s="13" t="e">
        <f>[1]!BexGetCellData("003N8D85VN5Y88UOCOONXLKGG","003N8D85VN5Y88UOCOONXEJM8","DP_3")</f>
        <v>#VALUE!</v>
      </c>
      <c r="C12" s="6" t="e">
        <f>[1]!BexGetCellData("003N8D85VN5Y88UOCOONXLQS0","003N8D85VN5Y88UOCOONXEJM8","DP_3")</f>
        <v>#VALUE!</v>
      </c>
    </row>
    <row r="13" spans="1:3" x14ac:dyDescent="0.2">
      <c r="A13" s="10" t="e">
        <f>[1]!BexGetCellData("","003N8D85VN5Y88UOCOONXF2KW","DP_3")</f>
        <v>#VALUE!</v>
      </c>
      <c r="B13" s="8" t="e">
        <f>[1]!BexGetCellData("003N8D85VN5Y88UOCOONXLKGG","003N8D85VN5Y88UOCOONXF2KW","DP_3")</f>
        <v>#VALUE!</v>
      </c>
      <c r="C13" s="8" t="e">
        <f>[1]!BexGetCellData("003N8D85VN5Y88UOCOONXLQS0","003N8D85VN5Y88UOCOONXF2KW","DP_3")</f>
        <v>#VALUE!</v>
      </c>
    </row>
    <row r="14" spans="1:3" x14ac:dyDescent="0.2">
      <c r="A14" s="10" t="e">
        <f>[1]!BexGetCellData("","003N8D85VN5Y88UOCOONXFLJK","DP_3")</f>
        <v>#VALUE!</v>
      </c>
      <c r="B14" s="14" t="e">
        <f>[1]!BexGetCellData("003N8D85VN5Y88UOCOONXLKGG","003N8D85VN5Y88UOCOONXFLJK","DP_3")</f>
        <v>#VALUE!</v>
      </c>
      <c r="C14" s="7" t="e">
        <f>[1]!BexGetCellData("003N8D85VN5Y88UOCOONXLQS0","003N8D85VN5Y88UOCOONXFLJK","DP_3")</f>
        <v>#VALUE!</v>
      </c>
    </row>
    <row r="15" spans="1:3" x14ac:dyDescent="0.2">
      <c r="A15" s="10" t="e">
        <f>[1]!BexGetCellData("","003N8D85VN5Y88UOCOONXG4I8","DP_3")</f>
        <v>#VALUE!</v>
      </c>
      <c r="B15" s="14" t="e">
        <f>[1]!BexGetCellData("003N8D85VN5Y88UOCOONXLKGG","003N8D85VN5Y88UOCOONXG4I8","DP_3")</f>
        <v>#VALUE!</v>
      </c>
      <c r="C15" s="8" t="e">
        <f>[1]!BexGetCellData("003N8D85VN5Y88UOCOONXLQS0","003N8D85VN5Y88UOCOONXG4I8","DP_3")</f>
        <v>#VALUE!</v>
      </c>
    </row>
    <row r="16" spans="1:3" x14ac:dyDescent="0.2">
      <c r="A16" s="10" t="e">
        <f>[1]!BexGetCellData("","003N8D85VN5Y88UOCOONXGNGW","DP_3")</f>
        <v>#VALUE!</v>
      </c>
      <c r="B16" s="13" t="e">
        <f>[1]!BexGetCellData("003N8D85VN5Y88UOCOONXLKGG","003N8D85VN5Y88UOCOONXGNGW","DP_3")</f>
        <v>#VALUE!</v>
      </c>
      <c r="C16" s="6" t="e">
        <f>[1]!BexGetCellData("003N8D85VN5Y88UOCOONXLQS0","003N8D85VN5Y88UOCOONXGNGW","DP_3")</f>
        <v>#VALUE!</v>
      </c>
    </row>
    <row r="17" spans="1:3" x14ac:dyDescent="0.2">
      <c r="A17" s="10" t="e">
        <f>[1]!BexGetCellData("","003N8D85VN5Y88UOCOONXH6FK","DP_3")</f>
        <v>#VALUE!</v>
      </c>
      <c r="B17" s="14" t="e">
        <f>[1]!BexGetCellData("003N8D85VN5Y88UOCOONXLKGG","003N8D85VN5Y88UOCOONXH6FK","DP_3")</f>
        <v>#VALUE!</v>
      </c>
      <c r="C17" s="8" t="e">
        <f>[1]!BexGetCellData("003N8D85VN5Y88UOCOONXLQS0","003N8D85VN5Y88UOCOONXH6FK","DP_3")</f>
        <v>#VALUE!</v>
      </c>
    </row>
    <row r="18" spans="1:3" x14ac:dyDescent="0.2">
      <c r="A18" s="10" t="e">
        <f>[1]!BexGetCellData("","003N8D85VN5Y88UOCOONXHPE8","DP_3")</f>
        <v>#VALUE!</v>
      </c>
      <c r="B18" s="14" t="e">
        <f>[1]!BexGetCellData("003N8D85VN5Y88UOCOONXLKGG","003N8D85VN5Y88UOCOONXHPE8","DP_3")</f>
        <v>#VALUE!</v>
      </c>
      <c r="C18" s="8" t="e">
        <f>[1]!BexGetCellData("003N8D85VN5Y88UOCOONXLQS0","003N8D85VN5Y88UOCOONXHPE8","DP_3")</f>
        <v>#VALUE!</v>
      </c>
    </row>
    <row r="19" spans="1:3" x14ac:dyDescent="0.2">
      <c r="A19" s="10" t="e">
        <f>[1]!BexGetCellData("","003N8D85VN5Y88UOCOONXJT8W","DP_3")</f>
        <v>#VALUE!</v>
      </c>
      <c r="B19" s="14" t="e">
        <f>[1]!BexGetCellData("003N8D85VN5Y88UOCOONXLKGG","003N8D85VN5Y88UOCOONXJT8W","DP_3")</f>
        <v>#VALUE!</v>
      </c>
      <c r="C19" s="8" t="e">
        <f>[1]!BexGetCellData("003N8D85VN5Y88UOCOONXLQS0","003N8D85VN5Y88UOCOONXJT8W","DP_3")</f>
        <v>#VALUE!</v>
      </c>
    </row>
    <row r="20" spans="1:3" x14ac:dyDescent="0.2">
      <c r="A20" s="10" t="e">
        <f>[1]!BexGetCellData("","003N8D85VN5Y88UOCOONXKC7K","DP_3")</f>
        <v>#VALUE!</v>
      </c>
      <c r="B20" s="13" t="e">
        <f>[1]!BexGetCellData("003N8D85VN5Y88UOCOONXLKGG","003N8D85VN5Y88UOCOONXKC7K","DP_3")</f>
        <v>#VALUE!</v>
      </c>
      <c r="C20" s="6" t="e">
        <f>[1]!BexGetCellData("003N8D85VN5Y88UOCOONXLQS0","003N8D85VN5Y88UOCOONXKC7K","DP_3")</f>
        <v>#VALUE!</v>
      </c>
    </row>
    <row r="21" spans="1:3" x14ac:dyDescent="0.2">
      <c r="A21" s="10" t="e">
        <f>[1]!BexGetCellData("","003N8D85VN5Y88UOCOONXKV68","DP_3")</f>
        <v>#VALUE!</v>
      </c>
      <c r="B21" s="13" t="e">
        <f>[1]!BexGetCellData("003N8D85VN5Y88UOCOONXLKGG","003N8D85VN5Y88UOCOONXKV68","DP_3")</f>
        <v>#VALUE!</v>
      </c>
      <c r="C21" s="6" t="e">
        <f>[1]!BexGetCellData("003N8D85VN5Y88UOCOONXLQS0","003N8D85VN5Y88UOCOONXKV68","DP_3")</f>
        <v>#VALUE!</v>
      </c>
    </row>
    <row r="22" spans="1:3" x14ac:dyDescent="0.2">
      <c r="A22" s="10" t="e">
        <f>[1]!BexGetCellData("","003N8D85VN5Y8HKZ7PKW3YTFW","DP_3")</f>
        <v>#VALUE!</v>
      </c>
      <c r="B22" s="8" t="e">
        <f>[1]!BexGetCellData("003N8D85VN5Y88UOCOONXLKGG","003N8D85VN5Y8HKZ7PKW3YTFW","DP_3")</f>
        <v>#VALUE!</v>
      </c>
      <c r="C22" s="8" t="e">
        <f>[1]!BexGetCellData("003N8D85VN5Y88UOCOONXLQS0","003N8D85VN5Y8HKZ7PKW3YTFW","DP_3")</f>
        <v>#VALUE!</v>
      </c>
    </row>
    <row r="23" spans="1:3" x14ac:dyDescent="0.2">
      <c r="A23" s="10" t="e">
        <f>[1]!BexGetCellData("","003N8D85VN5Y8HKZ876XSEN4C","DP_3")</f>
        <v>#VALUE!</v>
      </c>
      <c r="B23" s="13" t="e">
        <f>[1]!BexGetCellData("003N8D85VN5Y88UOCOONXLKGG","003N8D85VN5Y8HKZ876XSEN4C","DP_3")</f>
        <v>#VALUE!</v>
      </c>
      <c r="C23" s="6" t="e">
        <f>[1]!BexGetCellData("003N8D85VN5Y88UOCOONXLQS0","003N8D85VN5Y8HKZ876XSEN4C","DP_3")</f>
        <v>#VALUE!</v>
      </c>
    </row>
    <row r="24" spans="1:3" x14ac:dyDescent="0.2">
      <c r="A24" s="10" t="e">
        <f>[1]!BexGetCellData("","003N8D85VN5Y8HKZ9377ZCGB0","DP_3")</f>
        <v>#VALUE!</v>
      </c>
      <c r="B24" s="13" t="e">
        <f>[1]!BexGetCellData("003N8D85VN5Y88UOCOONXLKGG","003N8D85VN5Y8HKZ9377ZCGB0","DP_3")</f>
        <v>#VALUE!</v>
      </c>
      <c r="C24" s="6" t="e">
        <f>[1]!BexGetCellData("003N8D85VN5Y88UOCOONXLQS0","003N8D85VN5Y8HKZ9377ZCGB0","DP_3")</f>
        <v>#VALUE!</v>
      </c>
    </row>
    <row r="25" spans="1:3" x14ac:dyDescent="0.2">
      <c r="A25" s="10" t="e">
        <f>[1]!BexGetCellData("","003N8D85VN5Y8HKZ9O9BNKOLS","DP_3")</f>
        <v>#VALUE!</v>
      </c>
      <c r="B25" s="14" t="e">
        <f>[1]!BexGetCellData("003N8D85VN5Y88UOCOONXLKGG","003N8D85VN5Y8HKZ9O9BNKOLS","DP_3")</f>
        <v>#VALUE!</v>
      </c>
      <c r="C25" s="8" t="e">
        <f>[1]!BexGetCellData("003N8D85VN5Y88UOCOONXLQS0","003N8D85VN5Y8HKZ9O9BNKOLS","DP_3")</f>
        <v>#VALUE!</v>
      </c>
    </row>
    <row r="26" spans="1:3" x14ac:dyDescent="0.2">
      <c r="A26" s="10" t="e">
        <f>[1]!BexGetCellData("","003N8D85VN5Y8HKZACCYYI3KG","DP_3")</f>
        <v>#VALUE!</v>
      </c>
      <c r="B26" s="13" t="e">
        <f>[1]!BexGetCellData("003N8D85VN5Y88UOCOONXLKGG","003N8D85VN5Y8HKZACCYYI3KG","DP_3")</f>
        <v>#VALUE!</v>
      </c>
      <c r="C26" s="6" t="e">
        <f>[1]!BexGetCellData("003N8D85VN5Y88UOCOONXLQS0","003N8D85VN5Y8HKZACCYYI3KG","DP_3")</f>
        <v>#VALUE!</v>
      </c>
    </row>
    <row r="27" spans="1:3" x14ac:dyDescent="0.2">
      <c r="A27" s="10" t="e">
        <f>[1]!BexGetCellData("","003N8D85VN5Y8HKZAZU4PQ6J5","DP_3")</f>
        <v>#VALUE!</v>
      </c>
      <c r="B27" s="13" t="e">
        <f>[1]!BexGetCellData("003N8D85VN5Y88UOCOONXLKGG","003N8D85VN5Y8HKZAZU4PQ6J5","DP_3")</f>
        <v>#VALUE!</v>
      </c>
      <c r="C27" s="6" t="e">
        <f>[1]!BexGetCellData("003N8D85VN5Y88UOCOONXLQS0","003N8D85VN5Y8HKZAZU4PQ6J5","DP_3")</f>
        <v>#VALUE!</v>
      </c>
    </row>
    <row r="28" spans="1:3" x14ac:dyDescent="0.2">
      <c r="A28" s="10" t="e">
        <f>[1]!BexGetCellData("","003N8D85VN5Y8HKZBM0RZLRBU","DP_3")</f>
        <v>#VALUE!</v>
      </c>
      <c r="B28" s="13" t="e">
        <f>[1]!BexGetCellData("003N8D85VN5Y88UOCOONXLKGG","003N8D85VN5Y8HKZBM0RZLRBU","DP_3")</f>
        <v>#VALUE!</v>
      </c>
      <c r="C28" s="6" t="e">
        <f>[1]!BexGetCellData("003N8D85VN5Y88UOCOONXLQS0","003N8D85VN5Y8HKZBM0RZLRBU","DP_3")</f>
        <v>#VALUE!</v>
      </c>
    </row>
    <row r="29" spans="1:3" x14ac:dyDescent="0.2">
      <c r="A29" s="10" t="e">
        <f>[1]!BexGetCellData("","003N8D85VN5Y8HKZCA2TBAFMI","DP_3")</f>
        <v>#VALUE!</v>
      </c>
      <c r="B29" s="13" t="e">
        <f>[1]!BexGetCellData("003N8D85VN5Y88UOCOONXLKGG","003N8D85VN5Y8HKZCA2TBAFMI","DP_3")</f>
        <v>#VALUE!</v>
      </c>
      <c r="C29" s="6" t="e">
        <f>[1]!BexGetCellData("003N8D85VN5Y88UOCOONXLQS0","003N8D85VN5Y8HKZCA2TBAFMI","DP_3")</f>
        <v>#VALUE!</v>
      </c>
    </row>
    <row r="30" spans="1:3" x14ac:dyDescent="0.2">
      <c r="A30" s="10" t="e">
        <f>[1]!BexGetCellData("","003N8D85VN5Y8HKZE3X0X81WE","DP_3")</f>
        <v>#VALUE!</v>
      </c>
      <c r="B30" s="14" t="e">
        <f>[1]!BexGetCellData("003N8D85VN5Y88UOCOONXLKGG","003N8D85VN5Y8HKZE3X0X81WE","DP_3")</f>
        <v>#VALUE!</v>
      </c>
      <c r="C30" s="8" t="e">
        <f>[1]!BexGetCellData("003N8D85VN5Y88UOCOONXLQS0","003N8D85VN5Y8HKZE3X0X81WE","DP_3")</f>
        <v>#VALUE!</v>
      </c>
    </row>
    <row r="31" spans="1:3" x14ac:dyDescent="0.2">
      <c r="A31" s="10" t="e">
        <f>[1]!BexGetCellData("","003N8D85VN5Y8HKZF2DGVBXCY","DP_3")</f>
        <v>#VALUE!</v>
      </c>
      <c r="B31" s="14" t="e">
        <f>[1]!BexGetCellData("003N8D85VN5Y88UOCOONXLKGG","003N8D85VN5Y8HKZF2DGVBXCY","DP_3")</f>
        <v>#VALUE!</v>
      </c>
      <c r="C31" s="8" t="e">
        <f>[1]!BexGetCellData("003N8D85VN5Y88UOCOONXLQS0","003N8D85VN5Y8HKZF2DGVBXCY","DP_3")</f>
        <v>#VALUE!</v>
      </c>
    </row>
    <row r="32" spans="1:3" x14ac:dyDescent="0.2">
      <c r="A32" s="10" t="e">
        <f>[1]!BexGetCellData("","003N8D85VN5Y8HKZFM8BOXL0I","DP_3")</f>
        <v>#VALUE!</v>
      </c>
      <c r="B32" s="13" t="e">
        <f>[1]!BexGetCellData("003N8D85VN5Y88UOCOONXLKGG","003N8D85VN5Y8HKZFM8BOXL0I","DP_3")</f>
        <v>#VALUE!</v>
      </c>
      <c r="C32" s="6" t="e">
        <f>[1]!BexGetCellData("003N8D85VN5Y88UOCOONXLQS0","003N8D85VN5Y8HKZFM8BOXL0I","DP_3")</f>
        <v>#VALUE!</v>
      </c>
    </row>
    <row r="33" spans="1:3" x14ac:dyDescent="0.2">
      <c r="A33" s="10" t="e">
        <f>[1]!BexGetCellData("","003N8D85VN5Y8HKZGAVOBDSIU","DP_3")</f>
        <v>#VALUE!</v>
      </c>
      <c r="B33" s="14" t="e">
        <f>[1]!BexGetCellData("003N8D85VN5Y88UOCOONXLKGG","003N8D85VN5Y8HKZGAVOBDSIU","DP_3")</f>
        <v>#VALUE!</v>
      </c>
      <c r="C33" s="8" t="e">
        <f>[1]!BexGetCellData("003N8D85VN5Y88UOCOONXLQS0","003N8D85VN5Y8HKZGAVOBDSIU","DP_3")</f>
        <v>#VALUE!</v>
      </c>
    </row>
    <row r="34" spans="1:3" x14ac:dyDescent="0.2">
      <c r="A34" s="10" t="e">
        <f>[1]!BexGetCellData("","003N8D85VN5Y8HKZH8BV9KUJQ","DP_3")</f>
        <v>#VALUE!</v>
      </c>
      <c r="B34" s="14" t="e">
        <f>[1]!BexGetCellData("003N8D85VN5Y88UOCOONXLKGG","003N8D85VN5Y8HKZH8BV9KUJQ","DP_3")</f>
        <v>#VALUE!</v>
      </c>
      <c r="C34" s="8" t="e">
        <f>[1]!BexGetCellData("003N8D85VN5Y88UOCOONXLQS0","003N8D85VN5Y8HKZH8BV9KUJQ","DP_3")</f>
        <v>#VALUE!</v>
      </c>
    </row>
    <row r="35" spans="1:3" x14ac:dyDescent="0.2">
      <c r="A35" s="10" t="e">
        <f>[1]!BexGetCellData("","003N8D85VN5Y8HKZKMXA4Z7HY","DP_3")</f>
        <v>#VALUE!</v>
      </c>
      <c r="B35" s="14" t="e">
        <f>[1]!BexGetCellData("003N8D85VN5Y88UOCOONXLKGG","003N8D85VN5Y8HKZKMXA4Z7HY","DP_3")</f>
        <v>#VALUE!</v>
      </c>
      <c r="C35" s="8" t="e">
        <f>[1]!BexGetCellData("003N8D85VN5Y88UOCOONXLQS0","003N8D85VN5Y8HKZKMXA4Z7HY","DP_3")</f>
        <v>#VALUE!</v>
      </c>
    </row>
    <row r="36" spans="1:3" x14ac:dyDescent="0.2">
      <c r="A36" s="10" t="e">
        <f>[1]!BexGetCellData("","003N8D85VN5Y8HKZLONALDCC9","DP_3")</f>
        <v>#VALUE!</v>
      </c>
      <c r="B36" s="13" t="e">
        <f>[1]!BexGetCellData("003N8D85VN5Y88UOCOONXLKGG","003N8D85VN5Y8HKZLONALDCC9","DP_3")</f>
        <v>#VALUE!</v>
      </c>
      <c r="C36" s="6" t="e">
        <f>[1]!BexGetCellData("003N8D85VN5Y88UOCOONXLQS0","003N8D85VN5Y8HKZLONALDCC9","DP_3")</f>
        <v>#VALUE!</v>
      </c>
    </row>
    <row r="37" spans="1:3" x14ac:dyDescent="0.2">
      <c r="A37" s="10" t="e">
        <f>[1]!BexGetCellData("","003N8D85VN5Y8HKZMBIWNVJQX","DP_3")</f>
        <v>#VALUE!</v>
      </c>
      <c r="B37" s="13" t="e">
        <f>[1]!BexGetCellData("003N8D85VN5Y88UOCOONXLKGG","003N8D85VN5Y8HKZMBIWNVJQX","DP_3")</f>
        <v>#VALUE!</v>
      </c>
      <c r="C37" s="6" t="e">
        <f>[1]!BexGetCellData("003N8D85VN5Y88UOCOONXLQS0","003N8D85VN5Y8HKZMBIWNVJQX","DP_3")</f>
        <v>#VALUE!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2024-05-02T14:51:11Z</cp:lastPrinted>
  <dcterms:created xsi:type="dcterms:W3CDTF">2017-06-21T15:05:23Z</dcterms:created>
  <dcterms:modified xsi:type="dcterms:W3CDTF">2025-04-29T03:30:30Z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